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 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<sst xmlns="http://schemas.openxmlformats.org/spreadsheetml/2006/main" count="1626" uniqueCount="268">
  <si>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</si>
  <si>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</si>
  <si>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</si>
  <si>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</si>
  <si>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</si>
  <si>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</si>
  <si>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</si>
  <si>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</si>
  <si>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</si>
  <si>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</si>
  <si>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</si>
  <si>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</si>
  <si>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</si>
  <si>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</si>
  <si>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</si>
  <si>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</si>
  <si>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</si>
  <si>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</si>
  <si>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</si>
  <si>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</si>
  <si>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</si>
  <si>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</si>
  <si>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</si>
  <si>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</si>
  <si>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</si>
  <si>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</si>
  <si>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</si>
  <si>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</si>
  <si>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</si>
  <si>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</si>
  <si>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</si>
  <si>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</si>
  <si>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</si>
  <si>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</si>
  <si>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</si>
  <si>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</si>
  <si>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</si>
  <si>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</si>
  <si>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</si>
  <si>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</si>
  <si>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</si>
  <si>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</si>
  <si>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</si>
  <si>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</si>
  <si>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</si>
  <si>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</si>
  <si>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</si>
  <si>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</si>
  <si>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</si>
  <si>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</si>
  <si>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</si>
  <si>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</si>
  <si>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</si>
  <si>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</si>
  <si>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</si>
  <si>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</si>
  <si>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</si>
  <si>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</si>
  <si>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</si>
  <si>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</si>
  <si>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</si>
  <si>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</si>
  <si>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</si>
  <si>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</si>
  <si>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</si>
  <si>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</si>
  <si>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</si>
  <si>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</si>
  <si>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</si>
  <si>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</si>
  <si>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</si>
  <si>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</si>
  <si>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</si>
  <si>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</si>
  <si>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</si>
  <si>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</si>
  <si>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</si>
  <si>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</si>
  <si>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</si>
  <si>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</si>
  <si>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</si>
  <si>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</si>
  <si>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</si>
  <si>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</si>
  <si>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</si>
  <si>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</si>
  <si>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</si>
  <si>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</si>
  <si>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</si>
  <si>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</si>
  <si>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</si>
  <si>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</si>
  <si>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</si>
  <si>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</si>
  <si>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</si>
  <si>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</si>
  <si>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</si>
  <si>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</si>
  <si>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</si>
  <si>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</si>
  <si>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</si>
  <si>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</si>
  <si>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</si>
  <si>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</si>
  <si>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</si>
  <si>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</si>
  <si>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</si>
  <si>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</si>
  <si>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</si>
  <si>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</si>
  <si>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</si>
  <si>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</si>
  <si>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</si>
  <si>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</si>
  <si>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</si>
  <si>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</si>
  <si>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</si>
  <si>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</si>
  <si>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</si>
  <si>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</si>
  <si>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</si>
  <si>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</si>
  <si>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</si>
  <si>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</si>
  <si>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</si>
  <si>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</si>
  <si>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</si>
  <si>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</si>
  <si>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</si>
  <si>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</si>
  <si>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</si>
  <si>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</si>
  <si>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</si>
  <si>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</si>
  <si>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</si>
  <si>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</si>
  <si>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</si>
  <si>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</si>
  <si>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</si>
  <si>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</si>
  <si>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</si>
  <si>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</si>
  <si>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</si>
  <si>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</si>
  <si>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</si>
  <si>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</si>
  <si>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</si>
  <si>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</si>
  <si>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</si>
  <si>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</si>
  <si>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</si>
  <si>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</si>
  <si>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</si>
  <si>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</si>
  <si>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</si>
  <si>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</si>
  <si>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</si>
  <si>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</si>
  <si>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</si>
  <si>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</si>
  <si>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</si>
  <si>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</si>
  <si>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</si>
  <si>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</si>
  <si>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</si>
  <si>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</si>
  <si>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</si>
  <si>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</si>
  <si>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</si>
  <si>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</si>
  <si>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</si>
  <si>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</si>
  <si>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</si>
  <si>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</si>
  <si>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</si>
  <si>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</si>
  <si>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</si>
  <si>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</si>
  <si>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</si>
  <si>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</si>
  <si>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</si>
  <si>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</si>
  <si>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</si>
  <si>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</si>
  <si>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</si>
  <si>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</si>
  <si>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</si>
  <si>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</si>
  <si>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</si>
  <si>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</si>
  <si>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</si>
  <si>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</si>
  <si>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</si>
  <si>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</si>
  <si>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</si>
  <si>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</si>
  <si>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</si>
  <si>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</si>
  <si>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</si>
  <si>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</si>
  <si>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</si>
  <si>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</si>
  <si>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</si>
  <si>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</si>
  <si>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</si>
  <si>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</si>
  <si>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</si>
  <si>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</si>
  <si>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</si>
  <si>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</si>
  <si>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</si>
  <si>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</si>
  <si>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</si>
  <si>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</si>
  <si>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</si>
  <si>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</si>
  <si>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</si>
  <si>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</si>
  <si>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</si>
  <si>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</si>
  <si>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</si>
  <si>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</si>
  <si>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</si>
  <si>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</si>
  <si>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</si>
  <si>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</si>
  <si>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</si>
  <si>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</si>
  <si>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</si>
  <si>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</si>
  <si>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</si>
  <si>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</si>
  <si>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</si>
  <si>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</si>
  <si>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</si>
  <si>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</si>
  <si>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</si>
  <si>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</si>
  <si>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</si>
  <si>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</si>
  <si>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</si>
  <si>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</si>
  <si>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</si>
  <si>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</si>
  <si>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</si>
  <si>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</si>
  <si>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</si>
  <si>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</si>
  <si>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</si>
  <si>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</si>
  <si>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</si>
  <si>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</si>
  <si>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</si>
  <si>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</si>
  <si>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</si>
  <si>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</si>
  <si>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</si>
  <si>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</si>
  <si>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</si>
  <si>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</si>
  <si>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</si>
  <si>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</si>
  <si>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</si>
  <si>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</si>
  <si>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</si>
  <si>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</si>
  <si>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28.08.2014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</si>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</sst>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9" xfId="22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0" fontId="4" fillId="0" borderId="9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9" fontId="4" fillId="0" borderId="9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8"/>
      <sheetName val="депозит"/>
      <sheetName val="залишки  (2)"/>
      <sheetName val="надх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</sheetNames>
    <sheetDataSet>
      <sheetData sheetId="12">
        <row r="8">
          <cell r="G8">
            <v>0</v>
          </cell>
        </row>
        <row r="9">
          <cell r="G9">
            <v>13829857.96</v>
          </cell>
        </row>
      </sheetData>
      <sheetData sheetId="13">
        <row r="52">
          <cell r="B52">
            <v>17400133.309999995</v>
          </cell>
        </row>
      </sheetData>
      <sheetData sheetId="20">
        <row r="28">
          <cell r="C28">
            <v>4870376.3</v>
          </cell>
        </row>
      </sheetData>
      <sheetData sheetId="21">
        <row r="28">
          <cell r="C28">
            <v>3219411</v>
          </cell>
        </row>
      </sheetData>
      <sheetData sheetId="22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51" sqref="F15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9" t="s">
        <v>266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224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225</v>
      </c>
      <c r="N3" s="168" t="s">
        <v>261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259</v>
      </c>
      <c r="H4" s="184" t="s">
        <v>260</v>
      </c>
      <c r="I4" s="186" t="s">
        <v>188</v>
      </c>
      <c r="J4" s="188" t="s">
        <v>189</v>
      </c>
      <c r="K4" s="190" t="s">
        <v>264</v>
      </c>
      <c r="L4" s="191"/>
      <c r="M4" s="167"/>
      <c r="N4" s="198" t="s">
        <v>267</v>
      </c>
      <c r="O4" s="186" t="s">
        <v>136</v>
      </c>
      <c r="P4" s="186" t="s">
        <v>135</v>
      </c>
      <c r="Q4" s="190" t="s">
        <v>265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258</v>
      </c>
      <c r="F5" s="181"/>
      <c r="G5" s="183"/>
      <c r="H5" s="185"/>
      <c r="I5" s="187"/>
      <c r="J5" s="189"/>
      <c r="K5" s="192"/>
      <c r="L5" s="193"/>
      <c r="M5" s="151" t="s">
        <v>262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300365.95</v>
      </c>
      <c r="G8" s="22">
        <f aca="true" t="shared" si="0" ref="G8:G30">F8-E8</f>
        <v>-11647.440000000002</v>
      </c>
      <c r="H8" s="51">
        <f>F8/E8*100</f>
        <v>96.2670063614898</v>
      </c>
      <c r="I8" s="36">
        <f aca="true" t="shared" si="1" ref="I8:I17">F8-D8</f>
        <v>-188110.34999999998</v>
      </c>
      <c r="J8" s="36">
        <f aca="true" t="shared" si="2" ref="J8:J14">F8/D8*100</f>
        <v>61.49038346384461</v>
      </c>
      <c r="K8" s="36">
        <f>F8-306776.9</f>
        <v>-6410.950000000012</v>
      </c>
      <c r="L8" s="136">
        <f>F8/306776.9</f>
        <v>0.9791022400969565</v>
      </c>
      <c r="M8" s="22">
        <f>M10+M19+M33+M56+M68+M30</f>
        <v>40778.67999999999</v>
      </c>
      <c r="N8" s="22">
        <f>N10+N19+N33+N56+N68+N30</f>
        <v>31240.66999999999</v>
      </c>
      <c r="O8" s="36">
        <f aca="true" t="shared" si="3" ref="O8:O71">N8-M8</f>
        <v>-9538.010000000002</v>
      </c>
      <c r="P8" s="36">
        <f>F8/M8*100</f>
        <v>736.575950962611</v>
      </c>
      <c r="Q8" s="36">
        <f>N8-38892.4</f>
        <v>-7651.7300000000105</v>
      </c>
      <c r="R8" s="134">
        <f>N8/38892.4</f>
        <v>0.8032589914739123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244864.24</v>
      </c>
      <c r="G9" s="22">
        <f t="shared" si="0"/>
        <v>244864.24</v>
      </c>
      <c r="H9" s="20"/>
      <c r="I9" s="56">
        <f t="shared" si="1"/>
        <v>-142148.96000000002</v>
      </c>
      <c r="J9" s="56">
        <f t="shared" si="2"/>
        <v>63.270255381470186</v>
      </c>
      <c r="K9" s="56"/>
      <c r="L9" s="135"/>
      <c r="M9" s="20">
        <f>M10+M17</f>
        <v>33764.899999999994</v>
      </c>
      <c r="N9" s="20">
        <f>N10+N17</f>
        <v>26978.619999999995</v>
      </c>
      <c r="O9" s="36">
        <f t="shared" si="3"/>
        <v>-6786.279999999999</v>
      </c>
      <c r="P9" s="56">
        <f>F9/M9*100</f>
        <v>725.2035101540357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40">
        <v>244864.24</v>
      </c>
      <c r="G10" s="49">
        <f t="shared" si="0"/>
        <v>-10271.76000000001</v>
      </c>
      <c r="H10" s="40">
        <f aca="true" t="shared" si="4" ref="H10:H17">F10/E10*100</f>
        <v>95.97400602031857</v>
      </c>
      <c r="I10" s="56">
        <f t="shared" si="1"/>
        <v>-142148.96000000002</v>
      </c>
      <c r="J10" s="56">
        <f t="shared" si="2"/>
        <v>63.270255381470186</v>
      </c>
      <c r="K10" s="141">
        <f>F10-242707.3</f>
        <v>2156.9400000000023</v>
      </c>
      <c r="L10" s="142">
        <f>F10/242707.3</f>
        <v>1.0088870009266306</v>
      </c>
      <c r="M10" s="40">
        <f>E10-липень!E10</f>
        <v>33764.899999999994</v>
      </c>
      <c r="N10" s="40">
        <f>F10-липень!F10</f>
        <v>26978.619999999995</v>
      </c>
      <c r="O10" s="53">
        <f t="shared" si="3"/>
        <v>-6786.279999999999</v>
      </c>
      <c r="P10" s="56">
        <f aca="true" t="shared" si="5" ref="P10:P17">N10/M10*100</f>
        <v>79.90137687361728</v>
      </c>
      <c r="Q10" s="141">
        <f>N10-31381.5</f>
        <v>-4402.880000000005</v>
      </c>
      <c r="R10" s="142">
        <f>N10/31381.5</f>
        <v>0.8596982298487961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40">
        <v>50.22</v>
      </c>
      <c r="G19" s="49">
        <f t="shared" si="0"/>
        <v>-995.3799999999999</v>
      </c>
      <c r="H19" s="40">
        <f aca="true" t="shared" si="6" ref="H19:H29">F19/E19*100</f>
        <v>4.802983932670238</v>
      </c>
      <c r="I19" s="56">
        <f aca="true" t="shared" si="7" ref="I19:I29">F19-D19</f>
        <v>-949.78</v>
      </c>
      <c r="J19" s="56">
        <f aca="true" t="shared" si="8" ref="J19:J29">F19/D19*100</f>
        <v>5.022</v>
      </c>
      <c r="K19" s="56">
        <f>F19-6117.2</f>
        <v>-6066.98</v>
      </c>
      <c r="L19" s="135">
        <f>F19/6117.2</f>
        <v>0.008209638396652064</v>
      </c>
      <c r="M19" s="40">
        <f>E19-липень!E19</f>
        <v>12</v>
      </c>
      <c r="N19" s="40">
        <f>F19-липень!F19</f>
        <v>-299.15999999999997</v>
      </c>
      <c r="O19" s="53">
        <f t="shared" si="3"/>
        <v>-311.15999999999997</v>
      </c>
      <c r="P19" s="56">
        <f aca="true" t="shared" si="9" ref="P19:P29">N19/M19*100</f>
        <v>-2492.9999999999995</v>
      </c>
      <c r="Q19" s="56">
        <f>N19-74.4</f>
        <v>-373.55999999999995</v>
      </c>
      <c r="R19" s="135">
        <f>N19/74.4</f>
        <v>-4.0209677419354835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46">
        <v>550.64</v>
      </c>
      <c r="G29" s="49">
        <f t="shared" si="0"/>
        <v>-234.96000000000004</v>
      </c>
      <c r="H29" s="40">
        <f t="shared" si="6"/>
        <v>70.09164969450102</v>
      </c>
      <c r="I29" s="56">
        <f t="shared" si="7"/>
        <v>-379.36</v>
      </c>
      <c r="J29" s="56">
        <f t="shared" si="8"/>
        <v>59.20860215053764</v>
      </c>
      <c r="K29" s="148">
        <f>F29-2498.05</f>
        <v>-1947.4100000000003</v>
      </c>
      <c r="L29" s="149">
        <f>F29/2498.05</f>
        <v>0.2204279337883549</v>
      </c>
      <c r="M29" s="40">
        <f>E29-липень!E29</f>
        <v>52</v>
      </c>
      <c r="N29" s="40">
        <f>F29-липень!F29</f>
        <v>-300</v>
      </c>
      <c r="O29" s="148">
        <f t="shared" si="3"/>
        <v>-352</v>
      </c>
      <c r="P29" s="145">
        <f t="shared" si="9"/>
        <v>-576.9230769230769</v>
      </c>
      <c r="Q29" s="148">
        <f>N29-74.37</f>
        <v>-374.37</v>
      </c>
      <c r="R29" s="149">
        <f>N29/74.37</f>
        <v>-4.033884630899556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40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40">
        <v>51166.52</v>
      </c>
      <c r="G33" s="49">
        <f aca="true" t="shared" si="14" ref="G33:G72">F33-E33</f>
        <v>-134.27000000000407</v>
      </c>
      <c r="H33" s="40">
        <f aca="true" t="shared" si="15" ref="H33:H67">F33/E33*100</f>
        <v>99.73826913776571</v>
      </c>
      <c r="I33" s="56">
        <f>F33-D33</f>
        <v>-42399.48</v>
      </c>
      <c r="J33" s="56">
        <f aca="true" t="shared" si="16" ref="J33:J72">F33/D33*100</f>
        <v>54.68494966120172</v>
      </c>
      <c r="K33" s="141">
        <f>F33-53788.3</f>
        <v>-2621.780000000006</v>
      </c>
      <c r="L33" s="142">
        <f>F33/53788.3</f>
        <v>0.9512574295897062</v>
      </c>
      <c r="M33" s="40">
        <f>E33-липень!E33</f>
        <v>6439.68</v>
      </c>
      <c r="N33" s="40">
        <f>F33-липень!F33</f>
        <v>4064.3599999999933</v>
      </c>
      <c r="O33" s="53">
        <f t="shared" si="3"/>
        <v>-2375.320000000007</v>
      </c>
      <c r="P33" s="56">
        <f aca="true" t="shared" si="17" ref="P33:P67">N33/M33*100</f>
        <v>63.11431623931614</v>
      </c>
      <c r="Q33" s="141">
        <f>N33-6951.4</f>
        <v>-2887.0400000000063</v>
      </c>
      <c r="R33" s="142">
        <f>N33/6951.4</f>
        <v>0.5846822222861573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46">
        <v>38072.95</v>
      </c>
      <c r="G55" s="144">
        <f t="shared" si="14"/>
        <v>282.4599999999991</v>
      </c>
      <c r="H55" s="146">
        <f t="shared" si="15"/>
        <v>100.74743672283688</v>
      </c>
      <c r="I55" s="145">
        <f t="shared" si="18"/>
        <v>-32193.050000000003</v>
      </c>
      <c r="J55" s="145">
        <f t="shared" si="16"/>
        <v>54.184029260239654</v>
      </c>
      <c r="K55" s="148">
        <f>F55-38852.08</f>
        <v>-779.1300000000047</v>
      </c>
      <c r="L55" s="149">
        <f>F55/38852.08</f>
        <v>0.9799462474081181</v>
      </c>
      <c r="M55" s="40">
        <f>E55-липень!E55</f>
        <v>4679.68</v>
      </c>
      <c r="N55" s="40">
        <f>F55-липень!F55</f>
        <v>3190.0499999999956</v>
      </c>
      <c r="O55" s="148">
        <f t="shared" si="3"/>
        <v>-1489.6300000000047</v>
      </c>
      <c r="P55" s="148">
        <f t="shared" si="17"/>
        <v>68.16812260667386</v>
      </c>
      <c r="Q55" s="163">
        <f>N55-5157.94</f>
        <v>-1967.890000000004</v>
      </c>
      <c r="R55" s="164">
        <f>N55/5157.94</f>
        <v>0.6184736542107888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40">
        <f>1.51+4279.12</f>
        <v>4280.63</v>
      </c>
      <c r="G56" s="49">
        <f t="shared" si="14"/>
        <v>-223.26999999999953</v>
      </c>
      <c r="H56" s="40">
        <f t="shared" si="15"/>
        <v>95.04274073580675</v>
      </c>
      <c r="I56" s="56">
        <f t="shared" si="18"/>
        <v>-2579.37</v>
      </c>
      <c r="J56" s="56">
        <f t="shared" si="16"/>
        <v>62.39985422740525</v>
      </c>
      <c r="K56" s="56">
        <f>F56-4138.3</f>
        <v>142.32999999999993</v>
      </c>
      <c r="L56" s="135">
        <f>F56/4138.3</f>
        <v>1.0343933499262983</v>
      </c>
      <c r="M56" s="40">
        <f>E56-липень!E56</f>
        <v>553.5999999999995</v>
      </c>
      <c r="N56" s="40">
        <f>F56-липень!F56</f>
        <v>496.8600000000001</v>
      </c>
      <c r="O56" s="53">
        <f t="shared" si="3"/>
        <v>-56.73999999999933</v>
      </c>
      <c r="P56" s="56">
        <f t="shared" si="17"/>
        <v>89.75072254335271</v>
      </c>
      <c r="Q56" s="56">
        <f>N56-484.9</f>
        <v>11.96000000000015</v>
      </c>
      <c r="R56" s="135">
        <f>N56/484.9</f>
        <v>1.0246648793565687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F68-0.7</f>
        <v>0.33000000000000007</v>
      </c>
      <c r="L68" s="135"/>
      <c r="M68" s="40">
        <f>E68-липень!E68</f>
        <v>0</v>
      </c>
      <c r="N68" s="40">
        <f>F68-липень!F68</f>
        <v>0</v>
      </c>
      <c r="O68" s="53">
        <f t="shared" si="3"/>
        <v>0</v>
      </c>
      <c r="P68" s="56"/>
      <c r="Q68" s="56">
        <f>N68-0.3</f>
        <v>-0.3</v>
      </c>
      <c r="R68" s="135">
        <f>N68/0.3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8440.65</v>
      </c>
      <c r="G74" s="50">
        <f aca="true" t="shared" si="24" ref="G74:G92">F74-E74</f>
        <v>-2158.8500000000004</v>
      </c>
      <c r="H74" s="51">
        <f aca="true" t="shared" si="25" ref="H74:H87">F74/E74*100</f>
        <v>79.63252983631303</v>
      </c>
      <c r="I74" s="36">
        <f aca="true" t="shared" si="26" ref="I74:I92">F74-D74</f>
        <v>-9917.65</v>
      </c>
      <c r="J74" s="36">
        <f aca="true" t="shared" si="27" ref="J74:J92">F74/D74*100</f>
        <v>45.97729637275783</v>
      </c>
      <c r="K74" s="36">
        <f>F74-12962.5</f>
        <v>-4521.85</v>
      </c>
      <c r="L74" s="136">
        <f>F74/12962.5</f>
        <v>0.651159112825458</v>
      </c>
      <c r="M74" s="22">
        <f>M77+M86+M88+M89+M94+M95+M96+M97+M99+M87+M104</f>
        <v>1620.5</v>
      </c>
      <c r="N74" s="22">
        <f>N77+N86+N88+N89+N94+N95+N96+N97+N99+N32+N104+N87+N103</f>
        <v>996.51</v>
      </c>
      <c r="O74" s="55">
        <f aca="true" t="shared" si="28" ref="O74:O92">N74-M74</f>
        <v>-623.99</v>
      </c>
      <c r="P74" s="36">
        <f>N74/M74*100</f>
        <v>61.49398333847578</v>
      </c>
      <c r="Q74" s="36">
        <f>N74-1702.6</f>
        <v>-706.0899999999999</v>
      </c>
      <c r="R74" s="136">
        <f>N74/1702.6</f>
        <v>0.5852872077998356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57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56">
        <f>F77-1694.5</f>
        <v>-1571.05</v>
      </c>
      <c r="L77" s="135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57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F86-2152</f>
        <v>-2152</v>
      </c>
      <c r="L86" s="135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F87-198</f>
        <v>16.580000000000013</v>
      </c>
      <c r="L87" s="135">
        <f>F87/198</f>
        <v>1.0837373737373739</v>
      </c>
      <c r="M87" s="40">
        <f>E87-липень!E87</f>
        <v>0</v>
      </c>
      <c r="N87" s="40">
        <f>F87-липень!F87</f>
        <v>0</v>
      </c>
      <c r="O87" s="53">
        <f t="shared" si="28"/>
        <v>0</v>
      </c>
      <c r="P87" s="56" t="e">
        <f t="shared" si="29"/>
        <v>#DIV/0!</v>
      </c>
      <c r="Q87" s="56">
        <f>N87-8.3</f>
        <v>-8.3</v>
      </c>
      <c r="R87" s="135">
        <f>N87/8.3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57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57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57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57">
        <v>620.14</v>
      </c>
      <c r="G96" s="49">
        <f t="shared" si="31"/>
        <v>-74.36000000000001</v>
      </c>
      <c r="H96" s="40">
        <f>F96/E96*100</f>
        <v>89.2930165586753</v>
      </c>
      <c r="I96" s="56">
        <f t="shared" si="32"/>
        <v>-579.86</v>
      </c>
      <c r="J96" s="56">
        <f>F96/D96*100</f>
        <v>51.678333333333335</v>
      </c>
      <c r="K96" s="56">
        <f>F96-693.4</f>
        <v>-73.25999999999999</v>
      </c>
      <c r="L96" s="135">
        <f>F96/693.4</f>
        <v>0.8943466974329392</v>
      </c>
      <c r="M96" s="40">
        <f>E96-липень!E96</f>
        <v>90</v>
      </c>
      <c r="N96" s="40">
        <f>F96-липень!F96</f>
        <v>88.73000000000002</v>
      </c>
      <c r="O96" s="53">
        <f t="shared" si="33"/>
        <v>-1.2699999999999818</v>
      </c>
      <c r="P96" s="56">
        <f>N96/M96*100</f>
        <v>98.5888888888889</v>
      </c>
      <c r="Q96" s="56">
        <f>N96-90.8</f>
        <v>-2.069999999999979</v>
      </c>
      <c r="R96" s="135">
        <f>N96/90.8</f>
        <v>0.9772026431718064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57">
        <v>2640.29</v>
      </c>
      <c r="G99" s="49">
        <f t="shared" si="31"/>
        <v>43.289999999999964</v>
      </c>
      <c r="H99" s="40">
        <f>F99/E99*100</f>
        <v>101.66692337312284</v>
      </c>
      <c r="I99" s="56">
        <f t="shared" si="32"/>
        <v>-1932.4099999999999</v>
      </c>
      <c r="J99" s="56">
        <f>F99/D99*100</f>
        <v>57.740284733308556</v>
      </c>
      <c r="K99" s="56">
        <f>F99-2979.1</f>
        <v>-338.80999999999995</v>
      </c>
      <c r="L99" s="135">
        <f>F99/2979.1</f>
        <v>0.886271021449431</v>
      </c>
      <c r="M99" s="40">
        <f>E99-липень!E99</f>
        <v>410</v>
      </c>
      <c r="N99" s="40">
        <f>F99-липень!F99</f>
        <v>294.1999999999998</v>
      </c>
      <c r="O99" s="53">
        <f t="shared" si="33"/>
        <v>-115.80000000000018</v>
      </c>
      <c r="P99" s="56">
        <f>N99/M99*100</f>
        <v>71.75609756097556</v>
      </c>
      <c r="Q99" s="56">
        <f>N99-355.4</f>
        <v>-61.20000000000016</v>
      </c>
      <c r="R99" s="135">
        <f>N99/355.4</f>
        <v>0.8277996623522786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621.3</v>
      </c>
      <c r="G102" s="144"/>
      <c r="H102" s="146"/>
      <c r="I102" s="145"/>
      <c r="J102" s="145"/>
      <c r="K102" s="148">
        <f>F102-421.2</f>
        <v>200.09999999999997</v>
      </c>
      <c r="L102" s="149">
        <f>F102/421.2</f>
        <v>1.475071225071225</v>
      </c>
      <c r="M102" s="40">
        <f>E102-липень!E102</f>
        <v>0</v>
      </c>
      <c r="N102" s="40">
        <f>F102-липень!F102</f>
        <v>151.39999999999998</v>
      </c>
      <c r="O102" s="53"/>
      <c r="P102" s="60"/>
      <c r="Q102" s="60">
        <f>N102-95.6</f>
        <v>55.79999999999998</v>
      </c>
      <c r="R102" s="138">
        <f>N102/95.6</f>
        <v>1.5836820083682006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57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308824.2</v>
      </c>
      <c r="G107" s="50">
        <f>F107-E107</f>
        <v>-13809.890000000014</v>
      </c>
      <c r="H107" s="51">
        <f>F107/E107*100</f>
        <v>95.71964326522345</v>
      </c>
      <c r="I107" s="36">
        <f t="shared" si="34"/>
        <v>-198055.39999999997</v>
      </c>
      <c r="J107" s="36">
        <f t="shared" si="36"/>
        <v>60.92653955692832</v>
      </c>
      <c r="K107" s="36">
        <f>F107-319755.3</f>
        <v>-10931.099999999977</v>
      </c>
      <c r="L107" s="136">
        <f>F107/319755.3</f>
        <v>0.9658141710239049</v>
      </c>
      <c r="M107" s="22">
        <f>M8+M74+M105+M106</f>
        <v>42402.17999999999</v>
      </c>
      <c r="N107" s="22">
        <f>N8+N74+N105+N106</f>
        <v>32239.26999999999</v>
      </c>
      <c r="O107" s="55">
        <f t="shared" si="35"/>
        <v>-10162.910000000003</v>
      </c>
      <c r="P107" s="36">
        <f>N107/M107*100</f>
        <v>76.03210495309438</v>
      </c>
      <c r="Q107" s="36">
        <f>N107-40595</f>
        <v>-8355.73000000001</v>
      </c>
      <c r="R107" s="136">
        <f>N107/40595</f>
        <v>0.794168493656854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245484.38</v>
      </c>
      <c r="G108" s="71">
        <f>G10-G18+G96</f>
        <v>-10346.12000000001</v>
      </c>
      <c r="H108" s="72">
        <f>F108/E108*100</f>
        <v>95.95586921809559</v>
      </c>
      <c r="I108" s="52">
        <f t="shared" si="34"/>
        <v>-142728.82</v>
      </c>
      <c r="J108" s="52">
        <f t="shared" si="36"/>
        <v>63.23442376508578</v>
      </c>
      <c r="K108" s="52">
        <f>F108-243489.6</f>
        <v>1994.7799999999988</v>
      </c>
      <c r="L108" s="137">
        <f>F108/243489.6</f>
        <v>1.008192464893778</v>
      </c>
      <c r="M108" s="71">
        <f>M10-M18+M96</f>
        <v>33854.899999999994</v>
      </c>
      <c r="N108" s="71">
        <f>N10-N18+N96</f>
        <v>27067.349999999995</v>
      </c>
      <c r="O108" s="53">
        <f t="shared" si="35"/>
        <v>-6787.549999999999</v>
      </c>
      <c r="P108" s="52">
        <f>N108/M108*100</f>
        <v>79.9510558294368</v>
      </c>
      <c r="Q108" s="52">
        <f>N108-31472.4</f>
        <v>-4405.050000000007</v>
      </c>
      <c r="R108" s="137">
        <f>N108/31472.4</f>
        <v>0.8600345064246766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63339.82000000001</v>
      </c>
      <c r="G109" s="62">
        <f>F109-E109</f>
        <v>-3463.7700000000186</v>
      </c>
      <c r="H109" s="72">
        <f>F109/E109*100</f>
        <v>94.81499422411278</v>
      </c>
      <c r="I109" s="52">
        <f t="shared" si="34"/>
        <v>-55326.57999999996</v>
      </c>
      <c r="J109" s="52">
        <f t="shared" si="36"/>
        <v>53.376372755893854</v>
      </c>
      <c r="K109" s="52">
        <f>F109-76265.7</f>
        <v>-12925.87999999999</v>
      </c>
      <c r="L109" s="137">
        <f>F109/76265.7</f>
        <v>0.8305151595015847</v>
      </c>
      <c r="M109" s="71">
        <f>M107-M108</f>
        <v>8547.279999999999</v>
      </c>
      <c r="N109" s="71">
        <f>N107-N108</f>
        <v>5171.919999999995</v>
      </c>
      <c r="O109" s="53">
        <f t="shared" si="35"/>
        <v>-3375.360000000004</v>
      </c>
      <c r="P109" s="52">
        <f>N109/M109*100</f>
        <v>60.50954221693914</v>
      </c>
      <c r="Q109" s="52">
        <f>N109-9122.6</f>
        <v>-3950.6800000000057</v>
      </c>
      <c r="R109" s="137">
        <f>N109/9122.6</f>
        <v>0.5669348650603988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245484.38</v>
      </c>
      <c r="G110" s="111">
        <f>F110-E110</f>
        <v>-4976.220000000001</v>
      </c>
      <c r="H110" s="72">
        <f>F110/E110*100</f>
        <v>98.01317253092901</v>
      </c>
      <c r="I110" s="81">
        <f t="shared" si="34"/>
        <v>-142728.82</v>
      </c>
      <c r="J110" s="52">
        <f t="shared" si="36"/>
        <v>63.23442376508578</v>
      </c>
      <c r="K110" s="52"/>
      <c r="L110" s="137"/>
      <c r="M110" s="72">
        <f>E110-липень!E110</f>
        <v>33854.899999999994</v>
      </c>
      <c r="N110" s="71">
        <f>N108</f>
        <v>27067.349999999995</v>
      </c>
      <c r="O110" s="63">
        <f t="shared" si="35"/>
        <v>-6787.549999999999</v>
      </c>
      <c r="P110" s="52">
        <f>N110/M110*100</f>
        <v>79.9510558294368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32">
        <v>965.98</v>
      </c>
      <c r="G115" s="49">
        <f t="shared" si="37"/>
        <v>-1386.12</v>
      </c>
      <c r="H115" s="40">
        <f aca="true" t="shared" si="39" ref="H115:H126">F115/E115*100</f>
        <v>41.06883210747843</v>
      </c>
      <c r="I115" s="60">
        <f t="shared" si="38"/>
        <v>-2705.52</v>
      </c>
      <c r="J115" s="60">
        <f aca="true" t="shared" si="40" ref="J115:J121">F115/D115*100</f>
        <v>26.31022742748196</v>
      </c>
      <c r="K115" s="60">
        <f>F115-2927.1</f>
        <v>-1961.12</v>
      </c>
      <c r="L115" s="138">
        <f>F115/2927.1</f>
        <v>0.3300126404974207</v>
      </c>
      <c r="M115" s="40">
        <f>E115-липень!E115</f>
        <v>327.5</v>
      </c>
      <c r="N115" s="40">
        <f>F115-липень!F115</f>
        <v>152.63</v>
      </c>
      <c r="O115" s="53">
        <f aca="true" t="shared" si="41" ref="O115:O126">N115-M115</f>
        <v>-174.87</v>
      </c>
      <c r="P115" s="60">
        <f>N115/M115*100</f>
        <v>46.60458015267175</v>
      </c>
      <c r="Q115" s="60">
        <f>N115-728.3</f>
        <v>-575.67</v>
      </c>
      <c r="R115" s="138">
        <f>N115/728.3</f>
        <v>0.2095702320472333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3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38">
        <f>SUM(F114:F116)</f>
        <v>1172.34</v>
      </c>
      <c r="G117" s="62">
        <f t="shared" si="37"/>
        <v>-1358.26</v>
      </c>
      <c r="H117" s="72">
        <f t="shared" si="39"/>
        <v>46.3265628704655</v>
      </c>
      <c r="I117" s="61">
        <f t="shared" si="38"/>
        <v>-2767.26</v>
      </c>
      <c r="J117" s="61">
        <f t="shared" si="40"/>
        <v>29.757843435881814</v>
      </c>
      <c r="K117" s="61">
        <f>F117-3123.4</f>
        <v>-1951.0600000000002</v>
      </c>
      <c r="L117" s="139">
        <f>F117/3123.4</f>
        <v>0.3753409745789844</v>
      </c>
      <c r="M117" s="62">
        <f>M115+M116+M114</f>
        <v>349.5</v>
      </c>
      <c r="N117" s="38">
        <f>SUM(N114:N116)</f>
        <v>176.79</v>
      </c>
      <c r="O117" s="61">
        <f t="shared" si="41"/>
        <v>-172.71</v>
      </c>
      <c r="P117" s="61">
        <f>N117/M117*100</f>
        <v>50.58369098712446</v>
      </c>
      <c r="Q117" s="61">
        <f>N117-757.4</f>
        <v>-580.61</v>
      </c>
      <c r="R117" s="139">
        <f>N117/757.4</f>
        <v>0.23341695273303406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276.66</v>
      </c>
      <c r="G119" s="49">
        <f t="shared" si="37"/>
        <v>94.16000000000003</v>
      </c>
      <c r="H119" s="40">
        <f t="shared" si="39"/>
        <v>151.59452054794522</v>
      </c>
      <c r="I119" s="60">
        <f t="shared" si="38"/>
        <v>9.460000000000036</v>
      </c>
      <c r="J119" s="60">
        <f t="shared" si="40"/>
        <v>103.54041916167667</v>
      </c>
      <c r="K119" s="60">
        <f>F119-173.1</f>
        <v>103.56000000000003</v>
      </c>
      <c r="L119" s="138">
        <f>F119/173.1</f>
        <v>1.5982668977469672</v>
      </c>
      <c r="M119" s="40">
        <f>E119-липень!E119</f>
        <v>0</v>
      </c>
      <c r="N119" s="40">
        <f>F119-липень!F119</f>
        <v>17.590000000000032</v>
      </c>
      <c r="O119" s="53">
        <f>N119-M119</f>
        <v>17.590000000000032</v>
      </c>
      <c r="P119" s="60" t="e">
        <f>N119/M119*100</f>
        <v>#DIV/0!</v>
      </c>
      <c r="Q119" s="60">
        <f>N119-0.4</f>
        <v>17.190000000000033</v>
      </c>
      <c r="R119" s="138">
        <f>N119/0.4</f>
        <v>43.97500000000008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33">
        <v>55948.06</v>
      </c>
      <c r="G120" s="49">
        <f t="shared" si="37"/>
        <v>6535.459999999999</v>
      </c>
      <c r="H120" s="40">
        <f t="shared" si="39"/>
        <v>113.22630260297981</v>
      </c>
      <c r="I120" s="53">
        <f t="shared" si="38"/>
        <v>-16027.930000000008</v>
      </c>
      <c r="J120" s="60">
        <f t="shared" si="40"/>
        <v>77.73156020500724</v>
      </c>
      <c r="K120" s="60">
        <f>F120-47624.2</f>
        <v>8323.86</v>
      </c>
      <c r="L120" s="138">
        <f>F120/47624.2</f>
        <v>1.1747821485715246</v>
      </c>
      <c r="M120" s="40">
        <f>E120-липень!E120</f>
        <v>8100</v>
      </c>
      <c r="N120" s="40">
        <f>F120-липень!F120</f>
        <v>9738.329999999994</v>
      </c>
      <c r="O120" s="53">
        <f t="shared" si="41"/>
        <v>1638.3299999999945</v>
      </c>
      <c r="P120" s="60">
        <f aca="true" t="shared" si="42" ref="P120:P125">N120/M120*100</f>
        <v>120.22629629629623</v>
      </c>
      <c r="Q120" s="60">
        <f>N120-7964.9</f>
        <v>1773.4299999999948</v>
      </c>
      <c r="R120" s="138">
        <f>N120/7964.9</f>
        <v>1.222655651671709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33">
        <v>1754.64</v>
      </c>
      <c r="G121" s="49">
        <f t="shared" si="37"/>
        <v>31.6400000000001</v>
      </c>
      <c r="H121" s="40">
        <f t="shared" si="39"/>
        <v>101.83633197910622</v>
      </c>
      <c r="I121" s="60">
        <f t="shared" si="38"/>
        <v>-2995.3599999999997</v>
      </c>
      <c r="J121" s="60">
        <f t="shared" si="40"/>
        <v>36.939789473684215</v>
      </c>
      <c r="K121" s="60">
        <f>F121-1122.3</f>
        <v>632.3400000000001</v>
      </c>
      <c r="L121" s="138">
        <f>F121/1122.3</f>
        <v>1.5634322373696874</v>
      </c>
      <c r="M121" s="40">
        <f>E121-липень!E121</f>
        <v>40</v>
      </c>
      <c r="N121" s="40">
        <f>F121-липень!F121</f>
        <v>76.50999999999999</v>
      </c>
      <c r="O121" s="53">
        <f t="shared" si="41"/>
        <v>36.50999999999999</v>
      </c>
      <c r="P121" s="60">
        <f t="shared" si="42"/>
        <v>191.27499999999998</v>
      </c>
      <c r="Q121" s="60">
        <f>N121-1.4</f>
        <v>75.10999999999999</v>
      </c>
      <c r="R121" s="138">
        <f>N121/1.4</f>
        <v>54.65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33">
        <v>2284.97</v>
      </c>
      <c r="G122" s="49">
        <f t="shared" si="37"/>
        <v>-7329.030000000001</v>
      </c>
      <c r="H122" s="40">
        <f t="shared" si="39"/>
        <v>23.7671104639068</v>
      </c>
      <c r="I122" s="60">
        <f t="shared" si="38"/>
        <v>-20793.03</v>
      </c>
      <c r="J122" s="60">
        <f>F122/D122*100</f>
        <v>9.901074616517896</v>
      </c>
      <c r="K122" s="60">
        <f>F122-14737.3</f>
        <v>-12452.33</v>
      </c>
      <c r="L122" s="138">
        <f>F122/14737.3</f>
        <v>0.1550467181912562</v>
      </c>
      <c r="M122" s="40">
        <f>E122-липень!E122</f>
        <v>2381.5</v>
      </c>
      <c r="N122" s="40">
        <f>F122-липень!F122</f>
        <v>49</v>
      </c>
      <c r="O122" s="53">
        <f t="shared" si="41"/>
        <v>-2332.5</v>
      </c>
      <c r="P122" s="60">
        <f t="shared" si="42"/>
        <v>2.057526768843166</v>
      </c>
      <c r="Q122" s="60">
        <f>N122-560</f>
        <v>-511</v>
      </c>
      <c r="R122" s="138">
        <f>N122/560</f>
        <v>0.0875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33">
        <v>764.62</v>
      </c>
      <c r="G123" s="49">
        <f t="shared" si="37"/>
        <v>-477.0100000000001</v>
      </c>
      <c r="H123" s="40">
        <f t="shared" si="39"/>
        <v>61.581952755651834</v>
      </c>
      <c r="I123" s="60">
        <f t="shared" si="38"/>
        <v>-1235.38</v>
      </c>
      <c r="J123" s="60">
        <f>F123/D123*100</f>
        <v>38.231</v>
      </c>
      <c r="K123" s="60">
        <f>F123-1640.1</f>
        <v>-875.4799999999999</v>
      </c>
      <c r="L123" s="138">
        <f>F123/1640.1</f>
        <v>0.46620328028778735</v>
      </c>
      <c r="M123" s="40">
        <f>E123-липень!E123</f>
        <v>189.59000000000015</v>
      </c>
      <c r="N123" s="40">
        <f>F123-липень!F123</f>
        <v>0.39999999999997726</v>
      </c>
      <c r="O123" s="53">
        <f t="shared" si="41"/>
        <v>-189.19000000000017</v>
      </c>
      <c r="P123" s="60">
        <f t="shared" si="42"/>
        <v>0.21098159185609838</v>
      </c>
      <c r="Q123" s="60">
        <f>N123-290.7</f>
        <v>-290.3</v>
      </c>
      <c r="R123" s="138">
        <f>N123/290.7</f>
        <v>0.0013759889920879852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38">
        <f>F120+F121+F122+F123+F119</f>
        <v>61028.950000000004</v>
      </c>
      <c r="G124" s="62">
        <f t="shared" si="37"/>
        <v>-1144.7799999999916</v>
      </c>
      <c r="H124" s="72">
        <f t="shared" si="39"/>
        <v>98.15874003377311</v>
      </c>
      <c r="I124" s="61">
        <f t="shared" si="38"/>
        <v>-41042.24</v>
      </c>
      <c r="J124" s="61">
        <f>F124/D124*100</f>
        <v>59.790573618275644</v>
      </c>
      <c r="K124" s="61">
        <f>F124-65296.9</f>
        <v>-4267.949999999997</v>
      </c>
      <c r="L124" s="139">
        <f>F124/65296.9</f>
        <v>0.9346377852547365</v>
      </c>
      <c r="M124" s="62">
        <f>M120+M121+M122+M123+M119</f>
        <v>10711.09</v>
      </c>
      <c r="N124" s="62">
        <f>N120+N121+N122+N123+N119</f>
        <v>9881.829999999994</v>
      </c>
      <c r="O124" s="61">
        <f t="shared" si="41"/>
        <v>-829.2600000000057</v>
      </c>
      <c r="P124" s="61">
        <f t="shared" si="42"/>
        <v>92.25793079882621</v>
      </c>
      <c r="Q124" s="61">
        <f>N124-8817.5</f>
        <v>1064.3299999999945</v>
      </c>
      <c r="R124" s="139">
        <f>N124/8817.5</f>
        <v>1.1207065494754742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33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33">
        <v>7363.45</v>
      </c>
      <c r="G128" s="49">
        <f aca="true" t="shared" si="43" ref="G128:G135">F128-E128</f>
        <v>645.9499999999998</v>
      </c>
      <c r="H128" s="40">
        <f>F128/E128*100</f>
        <v>109.61592854484554</v>
      </c>
      <c r="I128" s="60">
        <f aca="true" t="shared" si="44" ref="I128:I135">F128-D128</f>
        <v>-1336.5500000000002</v>
      </c>
      <c r="J128" s="60">
        <f>F128/D128*100</f>
        <v>84.63735632183908</v>
      </c>
      <c r="K128" s="60">
        <f>F128-8680.2</f>
        <v>-1316.750000000001</v>
      </c>
      <c r="L128" s="138">
        <f>F128/8680.2</f>
        <v>0.8483041865394806</v>
      </c>
      <c r="M128" s="40">
        <f>E128-липень!E128</f>
        <v>1702</v>
      </c>
      <c r="N128" s="40">
        <f>F128-липень!F128</f>
        <v>2055.2799999999997</v>
      </c>
      <c r="O128" s="53">
        <f aca="true" t="shared" si="45" ref="O128:O135">N128-M128</f>
        <v>353.27999999999975</v>
      </c>
      <c r="P128" s="60">
        <f>N128/M128*100</f>
        <v>120.75675675675674</v>
      </c>
      <c r="Q128" s="60">
        <f>N128-2359.4</f>
        <v>-304.12000000000035</v>
      </c>
      <c r="R128" s="162">
        <f>N128/2359.4</f>
        <v>0.8711028227515468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0.73</v>
      </c>
      <c r="G129" s="49">
        <f t="shared" si="43"/>
        <v>0.73</v>
      </c>
      <c r="H129" s="40"/>
      <c r="I129" s="60">
        <f t="shared" si="44"/>
        <v>0.73</v>
      </c>
      <c r="J129" s="60"/>
      <c r="K129" s="60">
        <f>F129-0.3</f>
        <v>0.43</v>
      </c>
      <c r="L129" s="138">
        <f>F129/0.3</f>
        <v>2.4333333333333336</v>
      </c>
      <c r="M129" s="40">
        <f>E129-липень!E129</f>
        <v>0</v>
      </c>
      <c r="N129" s="40">
        <f>F129-липень!F129</f>
        <v>0.20999999999999996</v>
      </c>
      <c r="O129" s="53">
        <f t="shared" si="45"/>
        <v>0.20999999999999996</v>
      </c>
      <c r="P129" s="60"/>
      <c r="Q129" s="60">
        <f>N129-0.4</f>
        <v>-0.19000000000000006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38">
        <f>F128+F125+F129+F127</f>
        <v>7397.829999999999</v>
      </c>
      <c r="G130" s="62">
        <f t="shared" si="43"/>
        <v>649.9699999999993</v>
      </c>
      <c r="H130" s="72">
        <f>F130/E130*100</f>
        <v>109.63223896168562</v>
      </c>
      <c r="I130" s="61">
        <f t="shared" si="44"/>
        <v>-1352.8700000000017</v>
      </c>
      <c r="J130" s="61">
        <f>F130/D130*100</f>
        <v>84.53986538219797</v>
      </c>
      <c r="K130" s="61">
        <f>F130-8800.6</f>
        <v>-1402.7700000000013</v>
      </c>
      <c r="L130" s="139">
        <f>G130/8800.6</f>
        <v>0.0738551916914755</v>
      </c>
      <c r="M130" s="62">
        <f>M125+M128+M129+M127</f>
        <v>1706</v>
      </c>
      <c r="N130" s="62">
        <f>N125+N128+N129+N127</f>
        <v>2055.49</v>
      </c>
      <c r="O130" s="61">
        <f t="shared" si="45"/>
        <v>349.4899999999998</v>
      </c>
      <c r="P130" s="61">
        <f>N130/M130*100</f>
        <v>120.48593200468932</v>
      </c>
      <c r="Q130" s="61">
        <f>N130-2362.3</f>
        <v>-306.8100000000004</v>
      </c>
      <c r="R130" s="137">
        <f>N130/2362.3</f>
        <v>0.8701223383990178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33">
        <v>22.4</v>
      </c>
      <c r="G131" s="49">
        <f>F131-E131</f>
        <v>5.949999999999999</v>
      </c>
      <c r="H131" s="40">
        <f>F131/E131*100</f>
        <v>136.17021276595744</v>
      </c>
      <c r="I131" s="60">
        <f>F131-D131</f>
        <v>-7.600000000000001</v>
      </c>
      <c r="J131" s="60">
        <f>F131/D131*100</f>
        <v>74.66666666666666</v>
      </c>
      <c r="K131" s="60">
        <f>F131-17.7</f>
        <v>4.699999999999999</v>
      </c>
      <c r="L131" s="138">
        <f>F131/17.7</f>
        <v>1.2655367231638417</v>
      </c>
      <c r="M131" s="40">
        <f>E131-липень!E131</f>
        <v>0.3999999999999986</v>
      </c>
      <c r="N131" s="40">
        <f>F131-липень!F131</f>
        <v>0</v>
      </c>
      <c r="O131" s="53">
        <f>N131-M131</f>
        <v>-0.3999999999999986</v>
      </c>
      <c r="P131" s="60">
        <f>N131/M131*100</f>
        <v>0</v>
      </c>
      <c r="Q131" s="60">
        <f>N131-0.5</f>
        <v>-0.5</v>
      </c>
      <c r="R131" s="138">
        <f>N131/0.5</f>
        <v>0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69621.52</v>
      </c>
      <c r="G134" s="50">
        <f t="shared" si="43"/>
        <v>-1847.1199999999953</v>
      </c>
      <c r="H134" s="51">
        <f>F134/E134*100</f>
        <v>97.41548181132312</v>
      </c>
      <c r="I134" s="36">
        <f t="shared" si="44"/>
        <v>-45169.97</v>
      </c>
      <c r="J134" s="36">
        <f>F134/D134*100</f>
        <v>60.65041929501916</v>
      </c>
      <c r="K134" s="36">
        <f>F134-77238.6</f>
        <v>-7617.080000000002</v>
      </c>
      <c r="L134" s="136">
        <f>F134/77238.6</f>
        <v>0.9013824693870681</v>
      </c>
      <c r="M134" s="31">
        <f>M117+M131+M124+M130+M133+M132</f>
        <v>12766.99</v>
      </c>
      <c r="N134" s="31">
        <f>N117+N131+N124+N130+N133+N132</f>
        <v>12114.109999999995</v>
      </c>
      <c r="O134" s="36">
        <f t="shared" si="45"/>
        <v>-652.8800000000047</v>
      </c>
      <c r="P134" s="36">
        <f>N134/M134*100</f>
        <v>94.88618695557838</v>
      </c>
      <c r="Q134" s="36">
        <f>N134-11937.6</f>
        <v>176.50999999999476</v>
      </c>
      <c r="R134" s="136">
        <f>N134/11937.6</f>
        <v>1.014786054148237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378445.72000000003</v>
      </c>
      <c r="G135" s="50">
        <f t="shared" si="43"/>
        <v>-15657.01000000001</v>
      </c>
      <c r="H135" s="51">
        <f>F135/E135*100</f>
        <v>96.02717545245119</v>
      </c>
      <c r="I135" s="36">
        <f t="shared" si="44"/>
        <v>-243225.36999999994</v>
      </c>
      <c r="J135" s="36">
        <f>F135/D135*100</f>
        <v>60.87555398466415</v>
      </c>
      <c r="K135" s="36">
        <f>F135-396993.9</f>
        <v>-18548.179999999993</v>
      </c>
      <c r="L135" s="136">
        <f>F135/396993.9</f>
        <v>0.9532784256886567</v>
      </c>
      <c r="M135" s="22">
        <f>M107+M134</f>
        <v>55169.16999999999</v>
      </c>
      <c r="N135" s="22">
        <f>N107+N134</f>
        <v>44353.37999999998</v>
      </c>
      <c r="O135" s="36">
        <f t="shared" si="45"/>
        <v>-10815.790000000008</v>
      </c>
      <c r="P135" s="36">
        <f>N135/M135*100</f>
        <v>80.39522798693544</v>
      </c>
      <c r="Q135" s="36">
        <f>N135-52532.5</f>
        <v>-8179.120000000017</v>
      </c>
      <c r="R135" s="136">
        <f>N135/52532.5</f>
        <v>0.8443036215676006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2</v>
      </c>
      <c r="D137" s="4" t="s">
        <v>118</v>
      </c>
    </row>
    <row r="138" spans="2:17" ht="31.5">
      <c r="B138" s="78" t="s">
        <v>154</v>
      </c>
      <c r="C138" s="39">
        <f>IF(O107&lt;0,ABS(O107/C137),0)</f>
        <v>5081.455000000002</v>
      </c>
      <c r="D138" s="4" t="s">
        <v>104</v>
      </c>
      <c r="G138" s="194"/>
      <c r="H138" s="194"/>
      <c r="I138" s="194"/>
      <c r="J138" s="194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41878</v>
      </c>
      <c r="D139" s="39">
        <v>1194.3</v>
      </c>
      <c r="N139" s="195"/>
      <c r="O139" s="195"/>
    </row>
    <row r="140" spans="3:15" ht="15.75">
      <c r="C140" s="120">
        <v>41877</v>
      </c>
      <c r="D140" s="39">
        <v>1146</v>
      </c>
      <c r="F140" s="4" t="s">
        <v>166</v>
      </c>
      <c r="G140" s="196" t="s">
        <v>151</v>
      </c>
      <c r="H140" s="196"/>
      <c r="I140" s="115">
        <v>13829.857960000001</v>
      </c>
      <c r="J140" s="197" t="s">
        <v>161</v>
      </c>
      <c r="K140" s="197"/>
      <c r="L140" s="197"/>
      <c r="M140" s="197"/>
      <c r="N140" s="195"/>
      <c r="O140" s="195"/>
    </row>
    <row r="141" spans="3:15" ht="15.75">
      <c r="C141" s="120">
        <v>41873</v>
      </c>
      <c r="D141" s="39">
        <v>3494.4</v>
      </c>
      <c r="G141" s="200" t="s">
        <v>155</v>
      </c>
      <c r="H141" s="200"/>
      <c r="I141" s="112">
        <v>0</v>
      </c>
      <c r="J141" s="201" t="s">
        <v>162</v>
      </c>
      <c r="K141" s="201"/>
      <c r="L141" s="201"/>
      <c r="M141" s="201"/>
      <c r="N141" s="195"/>
      <c r="O141" s="195"/>
    </row>
    <row r="142" spans="7:13" ht="15.75" customHeight="1">
      <c r="G142" s="196" t="s">
        <v>148</v>
      </c>
      <c r="H142" s="196"/>
      <c r="I142" s="112">
        <v>0</v>
      </c>
      <c r="J142" s="197" t="s">
        <v>163</v>
      </c>
      <c r="K142" s="197"/>
      <c r="L142" s="197"/>
      <c r="M142" s="197"/>
    </row>
    <row r="143" spans="2:13" ht="18.75" customHeight="1">
      <c r="B143" s="202" t="s">
        <v>160</v>
      </c>
      <c r="C143" s="203"/>
      <c r="D143" s="117">
        <v>127825.57449</v>
      </c>
      <c r="E143" s="80"/>
      <c r="F143" s="100" t="s">
        <v>147</v>
      </c>
      <c r="G143" s="196" t="s">
        <v>149</v>
      </c>
      <c r="H143" s="196"/>
      <c r="I143" s="116">
        <v>113995.71653</v>
      </c>
      <c r="J143" s="197" t="s">
        <v>164</v>
      </c>
      <c r="K143" s="197"/>
      <c r="L143" s="197"/>
      <c r="M143" s="197"/>
    </row>
    <row r="144" spans="7:12" ht="9.75" customHeight="1">
      <c r="G144" s="204"/>
      <c r="H144" s="204"/>
      <c r="I144" s="98"/>
      <c r="J144" s="99"/>
      <c r="K144" s="99"/>
      <c r="L144" s="99"/>
    </row>
    <row r="145" spans="2:12" ht="22.5" customHeight="1">
      <c r="B145" s="205" t="s">
        <v>169</v>
      </c>
      <c r="C145" s="206"/>
      <c r="D145" s="119">
        <v>17400.133309999994</v>
      </c>
      <c r="E145" s="77" t="s">
        <v>104</v>
      </c>
      <c r="G145" s="204"/>
      <c r="H145" s="204"/>
      <c r="I145" s="98"/>
      <c r="J145" s="99"/>
      <c r="K145" s="99"/>
      <c r="L145" s="99"/>
    </row>
    <row r="146" spans="4:15" ht="15.75">
      <c r="D146" s="114"/>
      <c r="N146" s="204"/>
      <c r="O146" s="204"/>
    </row>
    <row r="147" spans="4:15" ht="15.75">
      <c r="D147" s="113"/>
      <c r="I147" s="39"/>
      <c r="N147" s="207"/>
      <c r="O147" s="207"/>
    </row>
    <row r="148" spans="14:15" ht="15.75">
      <c r="N148" s="204"/>
      <c r="O148" s="20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I111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115" sqref="K11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69" t="s">
        <v>256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224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225</v>
      </c>
      <c r="N3" s="168" t="s">
        <v>252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249</v>
      </c>
      <c r="H4" s="184" t="s">
        <v>250</v>
      </c>
      <c r="I4" s="186" t="s">
        <v>188</v>
      </c>
      <c r="J4" s="188" t="s">
        <v>189</v>
      </c>
      <c r="K4" s="190" t="s">
        <v>254</v>
      </c>
      <c r="L4" s="191"/>
      <c r="M4" s="167"/>
      <c r="N4" s="198" t="s">
        <v>257</v>
      </c>
      <c r="O4" s="186" t="s">
        <v>136</v>
      </c>
      <c r="P4" s="186" t="s">
        <v>135</v>
      </c>
      <c r="Q4" s="190" t="s">
        <v>255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248</v>
      </c>
      <c r="F5" s="181"/>
      <c r="G5" s="183"/>
      <c r="H5" s="185"/>
      <c r="I5" s="187"/>
      <c r="J5" s="189"/>
      <c r="K5" s="192"/>
      <c r="L5" s="193"/>
      <c r="M5" s="151" t="s">
        <v>251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94"/>
      <c r="H138" s="194"/>
      <c r="I138" s="194"/>
      <c r="J138" s="194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195"/>
      <c r="O139" s="195"/>
    </row>
    <row r="140" spans="3:15" ht="15.75">
      <c r="C140" s="120">
        <v>41850</v>
      </c>
      <c r="D140" s="39">
        <v>4320</v>
      </c>
      <c r="F140" s="4" t="s">
        <v>166</v>
      </c>
      <c r="G140" s="196" t="s">
        <v>151</v>
      </c>
      <c r="H140" s="196"/>
      <c r="I140" s="115">
        <f>13825221.96/1000</f>
        <v>13825.22196</v>
      </c>
      <c r="J140" s="197" t="s">
        <v>161</v>
      </c>
      <c r="K140" s="197"/>
      <c r="L140" s="197"/>
      <c r="M140" s="197"/>
      <c r="N140" s="195"/>
      <c r="O140" s="195"/>
    </row>
    <row r="141" spans="3:15" ht="15.75">
      <c r="C141" s="120">
        <v>41849</v>
      </c>
      <c r="D141" s="39">
        <v>4403.7</v>
      </c>
      <c r="G141" s="200" t="s">
        <v>155</v>
      </c>
      <c r="H141" s="200"/>
      <c r="I141" s="112">
        <v>0</v>
      </c>
      <c r="J141" s="201" t="s">
        <v>162</v>
      </c>
      <c r="K141" s="201"/>
      <c r="L141" s="201"/>
      <c r="M141" s="201"/>
      <c r="N141" s="195"/>
      <c r="O141" s="195"/>
    </row>
    <row r="142" spans="7:13" ht="15.75" customHeight="1">
      <c r="G142" s="196" t="s">
        <v>148</v>
      </c>
      <c r="H142" s="196"/>
      <c r="I142" s="112">
        <f>'[1]залишки  (2)'!$G$8/1000</f>
        <v>0</v>
      </c>
      <c r="J142" s="197" t="s">
        <v>163</v>
      </c>
      <c r="K142" s="197"/>
      <c r="L142" s="197"/>
      <c r="M142" s="197"/>
    </row>
    <row r="143" spans="2:13" ht="18.75" customHeight="1">
      <c r="B143" s="202" t="s">
        <v>160</v>
      </c>
      <c r="C143" s="203"/>
      <c r="D143" s="117">
        <f>120856761.09/1000</f>
        <v>120856.76109</v>
      </c>
      <c r="E143" s="80"/>
      <c r="F143" s="100" t="s">
        <v>147</v>
      </c>
      <c r="G143" s="196" t="s">
        <v>149</v>
      </c>
      <c r="H143" s="196"/>
      <c r="I143" s="116">
        <f>107031539.13/1000</f>
        <v>107031.53912999999</v>
      </c>
      <c r="J143" s="197" t="s">
        <v>164</v>
      </c>
      <c r="K143" s="197"/>
      <c r="L143" s="197"/>
      <c r="M143" s="197"/>
    </row>
    <row r="144" spans="7:12" ht="9.75" customHeight="1">
      <c r="G144" s="204"/>
      <c r="H144" s="204"/>
      <c r="I144" s="98"/>
      <c r="J144" s="99"/>
      <c r="K144" s="99"/>
      <c r="L144" s="99"/>
    </row>
    <row r="145" spans="2:12" ht="22.5" customHeight="1">
      <c r="B145" s="205" t="s">
        <v>169</v>
      </c>
      <c r="C145" s="206"/>
      <c r="D145" s="119">
        <f>26199804.73/1000</f>
        <v>26199.80473</v>
      </c>
      <c r="E145" s="77" t="s">
        <v>104</v>
      </c>
      <c r="G145" s="204"/>
      <c r="H145" s="204"/>
      <c r="I145" s="98"/>
      <c r="J145" s="99"/>
      <c r="K145" s="99"/>
      <c r="L145" s="99"/>
    </row>
    <row r="146" spans="4:15" ht="15.75">
      <c r="D146" s="114"/>
      <c r="N146" s="204"/>
      <c r="O146" s="204"/>
    </row>
    <row r="147" spans="4:15" ht="15.75">
      <c r="D147" s="113"/>
      <c r="I147" s="39"/>
      <c r="N147" s="207"/>
      <c r="O147" s="207"/>
    </row>
    <row r="148" spans="14:15" ht="15.75">
      <c r="N148" s="204"/>
      <c r="O148" s="20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68" sqref="H6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69" t="s">
        <v>246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224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225</v>
      </c>
      <c r="N3" s="168" t="s">
        <v>243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238</v>
      </c>
      <c r="H4" s="184" t="s">
        <v>239</v>
      </c>
      <c r="I4" s="186" t="s">
        <v>188</v>
      </c>
      <c r="J4" s="188" t="s">
        <v>189</v>
      </c>
      <c r="K4" s="190" t="s">
        <v>240</v>
      </c>
      <c r="L4" s="191"/>
      <c r="M4" s="167"/>
      <c r="N4" s="198" t="s">
        <v>247</v>
      </c>
      <c r="O4" s="186" t="s">
        <v>136</v>
      </c>
      <c r="P4" s="186" t="s">
        <v>135</v>
      </c>
      <c r="Q4" s="190" t="s">
        <v>242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237</v>
      </c>
      <c r="F5" s="181"/>
      <c r="G5" s="183"/>
      <c r="H5" s="185"/>
      <c r="I5" s="187"/>
      <c r="J5" s="189"/>
      <c r="K5" s="192"/>
      <c r="L5" s="193"/>
      <c r="M5" s="151" t="s">
        <v>241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4"/>
      <c r="H138" s="194"/>
      <c r="I138" s="194"/>
      <c r="J138" s="194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95"/>
      <c r="O139" s="195"/>
    </row>
    <row r="140" spans="3:15" ht="15.75">
      <c r="C140" s="120">
        <v>41816</v>
      </c>
      <c r="D140" s="39">
        <v>4277.2</v>
      </c>
      <c r="F140" s="4" t="s">
        <v>166</v>
      </c>
      <c r="G140" s="196" t="s">
        <v>151</v>
      </c>
      <c r="H140" s="196"/>
      <c r="I140" s="115">
        <f>'[1]залишки  (2)'!$G$9/1000</f>
        <v>13829.857960000001</v>
      </c>
      <c r="J140" s="197" t="s">
        <v>161</v>
      </c>
      <c r="K140" s="197"/>
      <c r="L140" s="197"/>
      <c r="M140" s="197"/>
      <c r="N140" s="195"/>
      <c r="O140" s="195"/>
    </row>
    <row r="141" spans="3:15" ht="15.75">
      <c r="C141" s="120">
        <v>41815</v>
      </c>
      <c r="D141" s="39">
        <v>1877.7</v>
      </c>
      <c r="G141" s="200" t="s">
        <v>155</v>
      </c>
      <c r="H141" s="200"/>
      <c r="I141" s="112">
        <v>0</v>
      </c>
      <c r="J141" s="201" t="s">
        <v>162</v>
      </c>
      <c r="K141" s="201"/>
      <c r="L141" s="201"/>
      <c r="M141" s="201"/>
      <c r="N141" s="195"/>
      <c r="O141" s="195"/>
    </row>
    <row r="142" spans="7:13" ht="15.75" customHeight="1">
      <c r="G142" s="196" t="s">
        <v>148</v>
      </c>
      <c r="H142" s="196"/>
      <c r="I142" s="112">
        <f>'[1]залишки  (2)'!$G$8/1000</f>
        <v>0</v>
      </c>
      <c r="J142" s="197" t="s">
        <v>163</v>
      </c>
      <c r="K142" s="197"/>
      <c r="L142" s="197"/>
      <c r="M142" s="197"/>
    </row>
    <row r="143" spans="2:13" ht="18.75" customHeight="1">
      <c r="B143" s="202" t="s">
        <v>160</v>
      </c>
      <c r="C143" s="203"/>
      <c r="D143" s="117">
        <v>117976.29</v>
      </c>
      <c r="E143" s="80"/>
      <c r="F143" s="100" t="s">
        <v>147</v>
      </c>
      <c r="G143" s="196" t="s">
        <v>149</v>
      </c>
      <c r="H143" s="196"/>
      <c r="I143" s="116">
        <v>104151.07</v>
      </c>
      <c r="J143" s="197" t="s">
        <v>164</v>
      </c>
      <c r="K143" s="197"/>
      <c r="L143" s="197"/>
      <c r="M143" s="197"/>
    </row>
    <row r="144" spans="7:12" ht="9.75" customHeight="1">
      <c r="G144" s="204"/>
      <c r="H144" s="204"/>
      <c r="I144" s="98"/>
      <c r="J144" s="99"/>
      <c r="K144" s="99"/>
      <c r="L144" s="99"/>
    </row>
    <row r="145" spans="2:12" ht="22.5" customHeight="1">
      <c r="B145" s="205" t="s">
        <v>169</v>
      </c>
      <c r="C145" s="206"/>
      <c r="D145" s="119">
        <v>41386</v>
      </c>
      <c r="E145" s="77" t="s">
        <v>104</v>
      </c>
      <c r="G145" s="204"/>
      <c r="H145" s="204"/>
      <c r="I145" s="98"/>
      <c r="J145" s="99"/>
      <c r="K145" s="99"/>
      <c r="L145" s="99"/>
    </row>
    <row r="146" spans="4:15" ht="15.75">
      <c r="D146" s="114"/>
      <c r="N146" s="204"/>
      <c r="O146" s="204"/>
    </row>
    <row r="147" spans="4:15" ht="15.75">
      <c r="D147" s="113"/>
      <c r="I147" s="39"/>
      <c r="N147" s="207"/>
      <c r="O147" s="207"/>
    </row>
    <row r="148" spans="14:15" ht="15.75">
      <c r="N148" s="204"/>
      <c r="O148" s="20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7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69" t="s">
        <v>235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224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225</v>
      </c>
      <c r="N3" s="168" t="s">
        <v>233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229</v>
      </c>
      <c r="H4" s="184" t="s">
        <v>230</v>
      </c>
      <c r="I4" s="186" t="s">
        <v>188</v>
      </c>
      <c r="J4" s="188" t="s">
        <v>189</v>
      </c>
      <c r="K4" s="190" t="s">
        <v>231</v>
      </c>
      <c r="L4" s="191"/>
      <c r="M4" s="167"/>
      <c r="N4" s="198" t="s">
        <v>236</v>
      </c>
      <c r="O4" s="186" t="s">
        <v>136</v>
      </c>
      <c r="P4" s="186" t="s">
        <v>135</v>
      </c>
      <c r="Q4" s="190" t="s">
        <v>234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228</v>
      </c>
      <c r="F5" s="181"/>
      <c r="G5" s="183"/>
      <c r="H5" s="185"/>
      <c r="I5" s="187"/>
      <c r="J5" s="189"/>
      <c r="K5" s="192"/>
      <c r="L5" s="193"/>
      <c r="M5" s="151" t="s">
        <v>232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95"/>
      <c r="O138" s="195"/>
    </row>
    <row r="139" spans="3:15" ht="15.75">
      <c r="C139" s="120">
        <v>41788</v>
      </c>
      <c r="D139" s="39">
        <v>5993.3</v>
      </c>
      <c r="F139" s="4" t="s">
        <v>166</v>
      </c>
      <c r="G139" s="196" t="s">
        <v>151</v>
      </c>
      <c r="H139" s="196"/>
      <c r="I139" s="115">
        <v>13825.22196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41787</v>
      </c>
      <c r="D140" s="39">
        <v>2595.2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118982.48</v>
      </c>
      <c r="E142" s="80"/>
      <c r="F142" s="100" t="s">
        <v>147</v>
      </c>
      <c r="G142" s="196" t="s">
        <v>149</v>
      </c>
      <c r="H142" s="196"/>
      <c r="I142" s="116">
        <v>105157.26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v>27359.4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69" t="s">
        <v>226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224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225</v>
      </c>
      <c r="N3" s="168" t="s">
        <v>221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217</v>
      </c>
      <c r="H4" s="184" t="s">
        <v>218</v>
      </c>
      <c r="I4" s="186" t="s">
        <v>188</v>
      </c>
      <c r="J4" s="188" t="s">
        <v>189</v>
      </c>
      <c r="K4" s="190" t="s">
        <v>219</v>
      </c>
      <c r="L4" s="191"/>
      <c r="M4" s="167"/>
      <c r="N4" s="198" t="s">
        <v>227</v>
      </c>
      <c r="O4" s="186" t="s">
        <v>136</v>
      </c>
      <c r="P4" s="186" t="s">
        <v>135</v>
      </c>
      <c r="Q4" s="190" t="s">
        <v>222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216</v>
      </c>
      <c r="F5" s="181"/>
      <c r="G5" s="183"/>
      <c r="H5" s="185"/>
      <c r="I5" s="187"/>
      <c r="J5" s="189"/>
      <c r="K5" s="192"/>
      <c r="L5" s="193"/>
      <c r="M5" s="151" t="s">
        <v>220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95"/>
      <c r="O138" s="195"/>
    </row>
    <row r="139" spans="3:15" ht="15.75">
      <c r="C139" s="120">
        <v>41758</v>
      </c>
      <c r="D139" s="39">
        <v>5440.9</v>
      </c>
      <c r="F139" s="4" t="s">
        <v>166</v>
      </c>
      <c r="G139" s="196" t="s">
        <v>151</v>
      </c>
      <c r="H139" s="196"/>
      <c r="I139" s="115">
        <v>13825.22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41757</v>
      </c>
      <c r="D140" s="39">
        <v>1923.2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123251.48</v>
      </c>
      <c r="E142" s="80"/>
      <c r="F142" s="100" t="s">
        <v>147</v>
      </c>
      <c r="G142" s="196" t="s">
        <v>149</v>
      </c>
      <c r="H142" s="196"/>
      <c r="I142" s="116">
        <v>109426.25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f>'[1]надх'!$B$52/1000</f>
        <v>17400.133309999994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9" t="s">
        <v>212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208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210</v>
      </c>
      <c r="N3" s="168" t="s">
        <v>198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207</v>
      </c>
      <c r="H4" s="184" t="s">
        <v>195</v>
      </c>
      <c r="I4" s="186" t="s">
        <v>188</v>
      </c>
      <c r="J4" s="188" t="s">
        <v>189</v>
      </c>
      <c r="K4" s="190" t="s">
        <v>196</v>
      </c>
      <c r="L4" s="191"/>
      <c r="M4" s="167"/>
      <c r="N4" s="198" t="s">
        <v>213</v>
      </c>
      <c r="O4" s="186" t="s">
        <v>136</v>
      </c>
      <c r="P4" s="186" t="s">
        <v>135</v>
      </c>
      <c r="Q4" s="190" t="s">
        <v>197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214</v>
      </c>
      <c r="F5" s="181"/>
      <c r="G5" s="183"/>
      <c r="H5" s="185"/>
      <c r="I5" s="187"/>
      <c r="J5" s="189"/>
      <c r="K5" s="192"/>
      <c r="L5" s="193"/>
      <c r="M5" s="151" t="s">
        <v>211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5"/>
      <c r="O138" s="195"/>
    </row>
    <row r="139" spans="3:15" ht="15.75">
      <c r="C139" s="120">
        <v>41726</v>
      </c>
      <c r="D139" s="39">
        <v>4682.6</v>
      </c>
      <c r="F139" s="4" t="s">
        <v>166</v>
      </c>
      <c r="G139" s="196" t="s">
        <v>151</v>
      </c>
      <c r="H139" s="196"/>
      <c r="I139" s="115">
        <v>13825.22196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41725</v>
      </c>
      <c r="D140" s="39">
        <v>3360.7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114985.02570999999</v>
      </c>
      <c r="E142" s="80"/>
      <c r="F142" s="100" t="s">
        <v>147</v>
      </c>
      <c r="G142" s="196" t="s">
        <v>149</v>
      </c>
      <c r="H142" s="196"/>
      <c r="I142" s="116">
        <v>101159.80375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v>3918.1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8"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  <mergeCell ref="N4:N5"/>
    <mergeCell ref="O4:O5"/>
    <mergeCell ref="P4:P5"/>
    <mergeCell ref="G137:J137"/>
    <mergeCell ref="N138:O138"/>
    <mergeCell ref="G139:H139"/>
    <mergeCell ref="J139:M139"/>
    <mergeCell ref="N139:O139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5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69" t="s">
        <v>193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209" t="s">
        <v>187</v>
      </c>
      <c r="E3" s="46"/>
      <c r="F3" s="210" t="s">
        <v>107</v>
      </c>
      <c r="G3" s="211"/>
      <c r="H3" s="211"/>
      <c r="I3" s="211"/>
      <c r="J3" s="212"/>
      <c r="K3" s="123"/>
      <c r="L3" s="123"/>
      <c r="M3" s="213" t="s">
        <v>190</v>
      </c>
      <c r="N3" s="208" t="s">
        <v>185</v>
      </c>
      <c r="O3" s="208"/>
      <c r="P3" s="208"/>
      <c r="Q3" s="208"/>
      <c r="R3" s="208"/>
    </row>
    <row r="4" spans="1:18" ht="22.5" customHeight="1">
      <c r="A4" s="171"/>
      <c r="B4" s="173"/>
      <c r="C4" s="174"/>
      <c r="D4" s="209"/>
      <c r="E4" s="214" t="s">
        <v>191</v>
      </c>
      <c r="F4" s="216" t="s">
        <v>116</v>
      </c>
      <c r="G4" s="218" t="s">
        <v>167</v>
      </c>
      <c r="H4" s="184" t="s">
        <v>168</v>
      </c>
      <c r="I4" s="220" t="s">
        <v>188</v>
      </c>
      <c r="J4" s="222" t="s">
        <v>189</v>
      </c>
      <c r="K4" s="125" t="s">
        <v>174</v>
      </c>
      <c r="L4" s="130" t="s">
        <v>173</v>
      </c>
      <c r="M4" s="213"/>
      <c r="N4" s="198" t="s">
        <v>194</v>
      </c>
      <c r="O4" s="220" t="s">
        <v>136</v>
      </c>
      <c r="P4" s="208" t="s">
        <v>135</v>
      </c>
      <c r="Q4" s="131" t="s">
        <v>174</v>
      </c>
      <c r="R4" s="132" t="s">
        <v>173</v>
      </c>
    </row>
    <row r="5" spans="1:18" ht="82.5" customHeight="1">
      <c r="A5" s="172"/>
      <c r="B5" s="173"/>
      <c r="C5" s="174"/>
      <c r="D5" s="209"/>
      <c r="E5" s="215"/>
      <c r="F5" s="217"/>
      <c r="G5" s="219"/>
      <c r="H5" s="185"/>
      <c r="I5" s="221"/>
      <c r="J5" s="223"/>
      <c r="K5" s="192" t="s">
        <v>184</v>
      </c>
      <c r="L5" s="193"/>
      <c r="M5" s="213"/>
      <c r="N5" s="199"/>
      <c r="O5" s="221"/>
      <c r="P5" s="208"/>
      <c r="Q5" s="192" t="s">
        <v>199</v>
      </c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5"/>
      <c r="O138" s="195"/>
    </row>
    <row r="139" spans="3:15" ht="15.75">
      <c r="C139" s="120">
        <v>41697</v>
      </c>
      <c r="D139" s="39">
        <v>2276.8</v>
      </c>
      <c r="F139" s="4" t="s">
        <v>166</v>
      </c>
      <c r="G139" s="196" t="s">
        <v>151</v>
      </c>
      <c r="H139" s="196"/>
      <c r="I139" s="115">
        <v>13825.22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41696</v>
      </c>
      <c r="D140" s="39">
        <v>3746.1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f>'[1]залишки  (2)'!$G$8/1000</f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121970.53</v>
      </c>
      <c r="E142" s="80"/>
      <c r="F142" s="100" t="s">
        <v>147</v>
      </c>
      <c r="G142" s="196" t="s">
        <v>149</v>
      </c>
      <c r="H142" s="196"/>
      <c r="I142" s="116">
        <v>108145.31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v>0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69" t="s">
        <v>183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209" t="s">
        <v>192</v>
      </c>
      <c r="E3" s="46"/>
      <c r="F3" s="210" t="s">
        <v>107</v>
      </c>
      <c r="G3" s="211"/>
      <c r="H3" s="211"/>
      <c r="I3" s="211"/>
      <c r="J3" s="212"/>
      <c r="K3" s="123"/>
      <c r="L3" s="123"/>
      <c r="M3" s="188" t="s">
        <v>200</v>
      </c>
      <c r="N3" s="208" t="s">
        <v>178</v>
      </c>
      <c r="O3" s="208"/>
      <c r="P3" s="208"/>
      <c r="Q3" s="208"/>
      <c r="R3" s="208"/>
    </row>
    <row r="4" spans="1:18" ht="22.5" customHeight="1">
      <c r="A4" s="171"/>
      <c r="B4" s="173"/>
      <c r="C4" s="174"/>
      <c r="D4" s="209"/>
      <c r="E4" s="214" t="s">
        <v>153</v>
      </c>
      <c r="F4" s="216" t="s">
        <v>116</v>
      </c>
      <c r="G4" s="218" t="s">
        <v>175</v>
      </c>
      <c r="H4" s="184" t="s">
        <v>176</v>
      </c>
      <c r="I4" s="220" t="s">
        <v>188</v>
      </c>
      <c r="J4" s="222" t="s">
        <v>189</v>
      </c>
      <c r="K4" s="125" t="s">
        <v>174</v>
      </c>
      <c r="L4" s="130" t="s">
        <v>173</v>
      </c>
      <c r="M4" s="224"/>
      <c r="N4" s="198" t="s">
        <v>186</v>
      </c>
      <c r="O4" s="220" t="s">
        <v>136</v>
      </c>
      <c r="P4" s="208" t="s">
        <v>135</v>
      </c>
      <c r="Q4" s="131" t="s">
        <v>174</v>
      </c>
      <c r="R4" s="132" t="s">
        <v>173</v>
      </c>
    </row>
    <row r="5" spans="1:18" ht="82.5" customHeight="1">
      <c r="A5" s="172"/>
      <c r="B5" s="173"/>
      <c r="C5" s="174"/>
      <c r="D5" s="209"/>
      <c r="E5" s="215"/>
      <c r="F5" s="217"/>
      <c r="G5" s="219"/>
      <c r="H5" s="185"/>
      <c r="I5" s="221"/>
      <c r="J5" s="223"/>
      <c r="K5" s="192" t="s">
        <v>177</v>
      </c>
      <c r="L5" s="193"/>
      <c r="M5" s="189"/>
      <c r="N5" s="199"/>
      <c r="O5" s="221"/>
      <c r="P5" s="208"/>
      <c r="Q5" s="192" t="s">
        <v>179</v>
      </c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5"/>
      <c r="O138" s="195"/>
    </row>
    <row r="139" spans="3:15" ht="15.75">
      <c r="C139" s="120">
        <v>41669</v>
      </c>
      <c r="D139" s="39">
        <v>4752.2</v>
      </c>
      <c r="F139" s="4" t="s">
        <v>166</v>
      </c>
      <c r="G139" s="196" t="s">
        <v>151</v>
      </c>
      <c r="H139" s="196"/>
      <c r="I139" s="115">
        <v>13825.22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41668</v>
      </c>
      <c r="D140" s="39">
        <v>1984.7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111410.62</v>
      </c>
      <c r="E142" s="80"/>
      <c r="F142" s="100" t="s">
        <v>147</v>
      </c>
      <c r="G142" s="196" t="s">
        <v>149</v>
      </c>
      <c r="H142" s="196"/>
      <c r="I142" s="116">
        <v>97585.4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v>0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2014-08-28T08:00:21Z</cp:lastPrinted>
  <dcterms:created xsi:type="dcterms:W3CDTF">2003-07-28T11:27:56Z</dcterms:created>
  <dcterms:modified xsi:type="dcterms:W3CDTF">2014-08-28T08:11:15Z</dcterms:modified>
  <cp:category/>
  <cp:version/>
  <cp:contentType/>
  <cp:contentStatus/>
</cp:coreProperties>
</file>